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da\Desktop\الكتاب السنوي 2024\بيانات من الوزارات\"/>
    </mc:Choice>
  </mc:AlternateContent>
  <bookViews>
    <workbookView xWindow="-120" yWindow="-120" windowWidth="20730" windowHeight="11040"/>
  </bookViews>
  <sheets>
    <sheet name="Sheet2" sheetId="2" r:id="rId1"/>
    <sheet name="Sheet4" sheetId="4" r:id="rId2"/>
    <sheet name="Sheet1" sheetId="5" r:id="rId3"/>
  </sheets>
  <definedNames>
    <definedName name="_xlnm.Print_Area" localSheetId="2">Sheet1!$B$5:$Q$26</definedName>
    <definedName name="_xlnm.Print_Area" localSheetId="0">Sheet2!$A$1:$F$49</definedName>
    <definedName name="_xlnm.Print_Area" localSheetId="1">Sheet4!$H$3:$L$27</definedName>
  </definedNames>
  <calcPr calcId="162913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5" l="1"/>
  <c r="N19" i="5" l="1"/>
  <c r="N20" i="5" l="1"/>
  <c r="N21" i="5" l="1"/>
  <c r="N22" i="5" l="1"/>
  <c r="N23" i="5" l="1"/>
  <c r="N25" i="5" l="1"/>
  <c r="N24" i="5"/>
  <c r="K21" i="4"/>
  <c r="L21" i="4" l="1"/>
  <c r="L26" i="4"/>
  <c r="K24" i="4"/>
  <c r="L16" i="4"/>
  <c r="L6" i="4"/>
  <c r="L7" i="4" l="1"/>
  <c r="L5" i="4" s="1"/>
  <c r="K11" i="4" l="1"/>
  <c r="K10" i="4"/>
  <c r="K9" i="4"/>
  <c r="K8" i="4"/>
  <c r="K6" i="4" s="1"/>
  <c r="L24" i="4" l="1"/>
  <c r="P24" i="5" l="1"/>
  <c r="O25" i="5" l="1"/>
  <c r="E25" i="5" l="1"/>
  <c r="P25" i="5"/>
  <c r="P23" i="5"/>
  <c r="P10" i="5"/>
  <c r="P11" i="5"/>
  <c r="P12" i="5"/>
  <c r="P13" i="5"/>
  <c r="P14" i="5"/>
  <c r="P15" i="5"/>
  <c r="P9" i="5"/>
  <c r="Q25" i="5" l="1"/>
  <c r="O24" i="5" l="1"/>
  <c r="D21" i="5" l="1"/>
  <c r="O22" i="5"/>
  <c r="P22" i="5" l="1"/>
  <c r="Q24" i="5" s="1"/>
  <c r="E5" i="2"/>
  <c r="P8" i="5"/>
  <c r="Q23" i="5" l="1"/>
  <c r="O21" i="5"/>
  <c r="P21" i="5" s="1"/>
  <c r="O20" i="5"/>
  <c r="P20" i="5"/>
  <c r="Q21" i="5" l="1"/>
  <c r="Q22" i="5"/>
  <c r="O19" i="5"/>
  <c r="O18" i="5"/>
  <c r="O17" i="5"/>
  <c r="P17" i="5" s="1"/>
  <c r="O16" i="5"/>
  <c r="P16" i="5" s="1"/>
  <c r="P18" i="5" l="1"/>
  <c r="P19" i="5" l="1"/>
  <c r="Q20" i="5" s="1"/>
  <c r="P7" i="5"/>
  <c r="Q8" i="5" s="1"/>
  <c r="Q19" i="5" l="1"/>
  <c r="Q11" i="5"/>
  <c r="Q13" i="5"/>
  <c r="Q18" i="5"/>
  <c r="Q9" i="5"/>
  <c r="Q15" i="5"/>
  <c r="Q16" i="5"/>
  <c r="Q14" i="5"/>
  <c r="Q12" i="5"/>
  <c r="Q10" i="5"/>
  <c r="Q17" i="5"/>
  <c r="F30" i="2" l="1"/>
  <c r="F29" i="2"/>
  <c r="E4" i="2"/>
  <c r="G48" i="2" l="1"/>
  <c r="G40" i="2"/>
  <c r="G38" i="2"/>
  <c r="G36" i="2"/>
  <c r="G34" i="2"/>
  <c r="G32" i="2"/>
  <c r="G35" i="2"/>
  <c r="G33" i="2"/>
  <c r="G31" i="2"/>
  <c r="G41" i="2"/>
  <c r="G39" i="2"/>
  <c r="G30" i="2"/>
  <c r="G37" i="2"/>
</calcChain>
</file>

<file path=xl/comments1.xml><?xml version="1.0" encoding="utf-8"?>
<comments xmlns="http://schemas.openxmlformats.org/spreadsheetml/2006/main">
  <authors>
    <author>Issam M. Othman</author>
  </authors>
  <commentList>
    <comment ref="M23" authorId="0" shapeId="0">
      <text>
        <r>
          <rPr>
            <b/>
            <sz val="9"/>
            <color indexed="81"/>
            <rFont val="Tahoma"/>
            <family val="2"/>
          </rPr>
          <t>Issam M. Othman:</t>
        </r>
        <r>
          <rPr>
            <sz val="9"/>
            <color indexed="81"/>
            <rFont val="Tahoma"/>
            <family val="2"/>
          </rPr>
          <t xml:space="preserve">
ملف الاحمال 2021</t>
        </r>
      </text>
    </comment>
    <comment ref="N23" authorId="0" shapeId="0">
      <text>
        <r>
          <rPr>
            <b/>
            <sz val="9"/>
            <color indexed="81"/>
            <rFont val="Tahoma"/>
            <family val="2"/>
          </rPr>
          <t>Issam M. Othman:</t>
        </r>
        <r>
          <rPr>
            <sz val="9"/>
            <color indexed="81"/>
            <rFont val="Tahoma"/>
            <family val="2"/>
          </rPr>
          <t xml:space="preserve">
ملف الاحمال 2021 شبكة النقل</t>
        </r>
      </text>
    </comment>
  </commentList>
</comments>
</file>

<file path=xl/sharedStrings.xml><?xml version="1.0" encoding="utf-8"?>
<sst xmlns="http://schemas.openxmlformats.org/spreadsheetml/2006/main" count="140" uniqueCount="69">
  <si>
    <t>غاز حيوي</t>
  </si>
  <si>
    <t>النسبة المئوية للطاقة المفقودة (%)</t>
  </si>
  <si>
    <t>عدد المشتركين بالتيار الكهربائي (بالألف)</t>
  </si>
  <si>
    <t>نسبة السكان المزودين بالكهرباء (%)</t>
  </si>
  <si>
    <t>أطوال الشبكة الوطنية 132 ك.ف فما فوق (كم . دارة)</t>
  </si>
  <si>
    <t>متوسط عدد العاملين في قطاع الكهرباء</t>
  </si>
  <si>
    <t>الإنتاجية السنوية (م.و.س / عامل)</t>
  </si>
  <si>
    <t xml:space="preserve">استهلاك الوقود في قطاع الكهرباء (بالألف طن مكافئ نفظ) </t>
  </si>
  <si>
    <t>1- قطاع الكهرباء</t>
  </si>
  <si>
    <t>السنة</t>
  </si>
  <si>
    <t>طاقة شمسية</t>
  </si>
  <si>
    <t>المجموع</t>
  </si>
  <si>
    <t>نسبة استهلاك قطاع الكهرباء من الوقود إلى الاستهلاك الكلي</t>
  </si>
  <si>
    <t>شركة الكهرباء الوطنية</t>
  </si>
  <si>
    <t>شركة الكهرباء الأردنية</t>
  </si>
  <si>
    <t>شركة كهرباء اربد</t>
  </si>
  <si>
    <t>شركة توزيع الكهرباء</t>
  </si>
  <si>
    <t>نسبة التغير (%)</t>
  </si>
  <si>
    <t>توليد بخاري</t>
  </si>
  <si>
    <t>مائي</t>
  </si>
  <si>
    <t>شبكة النقل</t>
  </si>
  <si>
    <t>نصيب الفرد من الطاقة الكهربائية المستهلكة (ك.و.س)</t>
  </si>
  <si>
    <t>-</t>
  </si>
  <si>
    <t xml:space="preserve">استهلاك قطاع الكهرباء </t>
  </si>
  <si>
    <t>IPP1</t>
  </si>
  <si>
    <t>IPP2</t>
  </si>
  <si>
    <t>IPP3</t>
  </si>
  <si>
    <t>IPP4</t>
  </si>
  <si>
    <t>أخرى</t>
  </si>
  <si>
    <t>محطة الزرقاء</t>
  </si>
  <si>
    <t>شركة التوليد المركزية</t>
  </si>
  <si>
    <t>محركات ديزل</t>
  </si>
  <si>
    <t>دورة بسيطة</t>
  </si>
  <si>
    <t>دورة مركبة</t>
  </si>
  <si>
    <t>طاقة رياح</t>
  </si>
  <si>
    <t xml:space="preserve"> توليد/رياح</t>
  </si>
  <si>
    <t xml:space="preserve"> توليد/شمسي*</t>
  </si>
  <si>
    <t>* تتضمن مشاريع الطاقة الشمسية على شبكتي النقل والتوزيع</t>
  </si>
  <si>
    <t>استهلاك المملكة من الطاقة</t>
  </si>
  <si>
    <t xml:space="preserve">نصيب الفرد من الطاقة </t>
  </si>
  <si>
    <t>**2021</t>
  </si>
  <si>
    <t>الحمل الأقصى</t>
  </si>
  <si>
    <t>شبكة التوزيع **</t>
  </si>
  <si>
    <t>شركة توليد العطارات</t>
  </si>
  <si>
    <t>* أولية</t>
  </si>
  <si>
    <t>شركة السمرا</t>
  </si>
  <si>
    <t>**2022</t>
  </si>
  <si>
    <t>الحمل الأقصى والطاقة الكهربائية المولدة (ج.و.س) حسب المصدر</t>
  </si>
  <si>
    <t>القطاع الصناعي</t>
  </si>
  <si>
    <t>نسبة النمو %</t>
  </si>
  <si>
    <t>**3311.9</t>
  </si>
  <si>
    <t>** لا تتضمن الصخر الزيتي/محطة توليد العطارات (N.A)</t>
  </si>
  <si>
    <t>N.A</t>
  </si>
  <si>
    <t xml:space="preserve">* أولية </t>
  </si>
  <si>
    <t>2023**</t>
  </si>
  <si>
    <t>**  (تتضمن بيانات تقديرية)</t>
  </si>
  <si>
    <t>2022*</t>
  </si>
  <si>
    <t>*2023</t>
  </si>
  <si>
    <t>استهلاك الوقود في المملكة 2006-2023 (بالألف طن مكافئ نفط)</t>
  </si>
  <si>
    <t>أعداد المشتركين بالتيار الكهربائي 2006- 2023 ( بالألف مشترك )</t>
  </si>
  <si>
    <t>2- قطاع الكهرباء + الطاقة المتجددة على شبكة التوزيع</t>
  </si>
  <si>
    <t>3- الصناعات الكبرى**</t>
  </si>
  <si>
    <t>* بيانات أولية</t>
  </si>
  <si>
    <t>**تقديري</t>
  </si>
  <si>
    <t>الطاقة المستهلكة (ج.و.س)**</t>
  </si>
  <si>
    <t>بيانات عامة عن الطاقة الكهربائية في المملكة 2023-2022</t>
  </si>
  <si>
    <t>***4063</t>
  </si>
  <si>
    <t>***تتضمن الصخر الزيتي</t>
  </si>
  <si>
    <t>الطاقة المولدة  في المملكة (1+2+3) (ج.و.س)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</si>
</sst>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6" formatCode="0.000"/>
    <numFmt numFmtId="167" formatCode="0.0%"/>
    <numFmt numFmtId="168" formatCode="0.000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>
        <fgColor indexed="9"/>
        <bgColor theme="8" tint="0.79998168889431442"/>
      </patternFill>
    </fill>
    <fill>
      <patternFill patternType="solid">
        <fgColor theme="0"/>
        <bgColor theme="0"/>
      </patternFill>
    </fill>
    <fill>
      <patternFill patternType="gray0625">
        <fgColor indexed="9"/>
        <bgColor theme="0"/>
      </patternFill>
    </fill>
    <fill>
      <patternFill patternType="gray0625">
        <fgColor indexed="9"/>
        <bgColor theme="4" tint="0.5999938962981048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/>
    <xf numFmtId="164" fontId="0" fillId="0" borderId="0" xfId="0" applyNumberFormat="1" applyBorder="1"/>
    <xf numFmtId="164" fontId="0" fillId="0" borderId="0" xfId="0" applyNumberFormat="1"/>
    <xf numFmtId="2" fontId="0" fillId="0" borderId="0" xfId="0" applyNumberFormat="1"/>
    <xf numFmtId="0" fontId="0" fillId="0" borderId="0" xfId="0" applyFont="1" applyAlignment="1">
      <alignment horizontal="right" readingOrder="2"/>
    </xf>
    <xf numFmtId="1" fontId="3" fillId="4" borderId="3" xfId="0" applyNumberFormat="1" applyFont="1" applyFill="1" applyBorder="1" applyAlignment="1">
      <alignment horizontal="center" vertical="center" wrapText="1" readingOrder="1"/>
    </xf>
    <xf numFmtId="164" fontId="3" fillId="4" borderId="3" xfId="0" applyNumberFormat="1" applyFont="1" applyFill="1" applyBorder="1" applyAlignment="1">
      <alignment horizontal="center" vertical="center" wrapText="1" readingOrder="1"/>
    </xf>
    <xf numFmtId="1" fontId="3" fillId="4" borderId="14" xfId="0" applyNumberFormat="1" applyFont="1" applyFill="1" applyBorder="1" applyAlignment="1">
      <alignment horizontal="left" vertical="center" wrapText="1" readingOrder="1"/>
    </xf>
    <xf numFmtId="166" fontId="3" fillId="4" borderId="3" xfId="0" applyNumberFormat="1" applyFont="1" applyFill="1" applyBorder="1" applyAlignment="1">
      <alignment horizontal="center" vertical="center" wrapText="1" readingOrder="1"/>
    </xf>
    <xf numFmtId="1" fontId="3" fillId="4" borderId="16" xfId="0" applyNumberFormat="1" applyFont="1" applyFill="1" applyBorder="1" applyAlignment="1">
      <alignment horizontal="right" vertical="center" wrapText="1" readingOrder="1"/>
    </xf>
    <xf numFmtId="166" fontId="3" fillId="4" borderId="17" xfId="0" applyNumberFormat="1" applyFont="1" applyFill="1" applyBorder="1" applyAlignment="1">
      <alignment horizontal="center" vertical="center" wrapText="1" readingOrder="1"/>
    </xf>
    <xf numFmtId="1" fontId="3" fillId="4" borderId="17" xfId="0" applyNumberFormat="1" applyFont="1" applyFill="1" applyBorder="1" applyAlignment="1">
      <alignment horizontal="center" vertical="center" wrapText="1" readingOrder="1"/>
    </xf>
    <xf numFmtId="0" fontId="6" fillId="0" borderId="0" xfId="0" applyFont="1"/>
    <xf numFmtId="0" fontId="6" fillId="0" borderId="13" xfId="0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0" fontId="6" fillId="0" borderId="0" xfId="0" applyFont="1" applyAlignment="1">
      <alignment horizontal="right" readingOrder="2"/>
    </xf>
    <xf numFmtId="164" fontId="3" fillId="4" borderId="15" xfId="0" applyNumberFormat="1" applyFont="1" applyFill="1" applyBorder="1" applyAlignment="1">
      <alignment horizontal="center" vertical="center" wrapText="1" readingOrder="1"/>
    </xf>
    <xf numFmtId="164" fontId="3" fillId="4" borderId="17" xfId="0" applyNumberFormat="1" applyFont="1" applyFill="1" applyBorder="1" applyAlignment="1">
      <alignment horizontal="center" vertical="center" wrapText="1" readingOrder="1"/>
    </xf>
    <xf numFmtId="164" fontId="3" fillId="4" borderId="18" xfId="0" applyNumberFormat="1" applyFont="1" applyFill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right" readingOrder="2"/>
    </xf>
    <xf numFmtId="1" fontId="3" fillId="4" borderId="25" xfId="0" applyNumberFormat="1" applyFont="1" applyFill="1" applyBorder="1" applyAlignment="1">
      <alignment horizontal="left" vertical="center" wrapText="1" readingOrder="1"/>
    </xf>
    <xf numFmtId="1" fontId="3" fillId="4" borderId="0" xfId="0" applyNumberFormat="1" applyFont="1" applyFill="1" applyBorder="1" applyAlignment="1">
      <alignment horizontal="center" vertical="center" wrapText="1" readingOrder="1"/>
    </xf>
    <xf numFmtId="164" fontId="3" fillId="4" borderId="0" xfId="0" applyNumberFormat="1" applyFont="1" applyFill="1" applyBorder="1" applyAlignment="1">
      <alignment horizontal="center" vertical="center" wrapText="1" readingOrder="1"/>
    </xf>
    <xf numFmtId="164" fontId="3" fillId="4" borderId="26" xfId="0" applyNumberFormat="1" applyFont="1" applyFill="1" applyBorder="1" applyAlignment="1">
      <alignment horizontal="center" vertical="center" wrapText="1" readingOrder="1"/>
    </xf>
    <xf numFmtId="0" fontId="6" fillId="0" borderId="25" xfId="0" applyFont="1" applyBorder="1"/>
    <xf numFmtId="0" fontId="6" fillId="0" borderId="0" xfId="0" applyFont="1" applyBorder="1"/>
    <xf numFmtId="0" fontId="6" fillId="0" borderId="26" xfId="0" applyFont="1" applyBorder="1"/>
    <xf numFmtId="0" fontId="4" fillId="3" borderId="0" xfId="0" applyFont="1" applyFill="1" applyBorder="1" applyAlignment="1">
      <alignment horizontal="center" vertical="center" wrapText="1"/>
    </xf>
    <xf numFmtId="1" fontId="3" fillId="4" borderId="25" xfId="0" applyNumberFormat="1" applyFont="1" applyFill="1" applyBorder="1" applyAlignment="1">
      <alignment horizontal="right" vertical="center" wrapText="1" readingOrder="1"/>
    </xf>
    <xf numFmtId="164" fontId="7" fillId="4" borderId="0" xfId="0" applyNumberFormat="1" applyFont="1" applyFill="1" applyBorder="1" applyAlignment="1">
      <alignment horizontal="center" vertical="center" wrapText="1" readingOrder="1"/>
    </xf>
    <xf numFmtId="1" fontId="3" fillId="4" borderId="7" xfId="0" applyNumberFormat="1" applyFont="1" applyFill="1" applyBorder="1" applyAlignment="1">
      <alignment horizontal="center" vertical="center" wrapText="1" readingOrder="1"/>
    </xf>
    <xf numFmtId="1" fontId="3" fillId="4" borderId="0" xfId="0" applyNumberFormat="1" applyFont="1" applyFill="1" applyBorder="1" applyAlignment="1">
      <alignment horizontal="right" vertical="center" wrapText="1" readingOrder="1"/>
    </xf>
    <xf numFmtId="1" fontId="3" fillId="4" borderId="0" xfId="0" applyNumberFormat="1" applyFont="1" applyFill="1" applyBorder="1" applyAlignment="1">
      <alignment horizontal="right" vertical="center" wrapText="1" readingOrder="2"/>
    </xf>
    <xf numFmtId="1" fontId="3" fillId="4" borderId="28" xfId="0" applyNumberFormat="1" applyFont="1" applyFill="1" applyBorder="1" applyAlignment="1">
      <alignment horizontal="left" vertical="center" wrapText="1" readingOrder="1"/>
    </xf>
    <xf numFmtId="164" fontId="3" fillId="4" borderId="2" xfId="0" applyNumberFormat="1" applyFont="1" applyFill="1" applyBorder="1" applyAlignment="1">
      <alignment horizontal="center" vertical="center" wrapText="1" readingOrder="1"/>
    </xf>
    <xf numFmtId="1" fontId="3" fillId="4" borderId="28" xfId="0" applyNumberFormat="1" applyFont="1" applyFill="1" applyBorder="1" applyAlignment="1">
      <alignment horizontal="right" vertical="center" wrapText="1" readingOrder="2"/>
    </xf>
    <xf numFmtId="166" fontId="3" fillId="4" borderId="2" xfId="0" applyNumberFormat="1" applyFont="1" applyFill="1" applyBorder="1" applyAlignment="1">
      <alignment horizontal="center" vertical="center" wrapText="1" readingOrder="1"/>
    </xf>
    <xf numFmtId="1" fontId="3" fillId="4" borderId="2" xfId="0" applyNumberFormat="1" applyFont="1" applyFill="1" applyBorder="1" applyAlignment="1">
      <alignment horizontal="center" vertical="center" wrapText="1" readingOrder="1"/>
    </xf>
    <xf numFmtId="167" fontId="3" fillId="4" borderId="29" xfId="0" applyNumberFormat="1" applyFont="1" applyFill="1" applyBorder="1" applyAlignment="1">
      <alignment horizontal="center" vertical="center" wrapText="1" readingOrder="1"/>
    </xf>
    <xf numFmtId="167" fontId="3" fillId="4" borderId="15" xfId="0" applyNumberFormat="1" applyFont="1" applyFill="1" applyBorder="1" applyAlignment="1">
      <alignment horizontal="center" vertical="center" wrapText="1" readingOrder="1"/>
    </xf>
    <xf numFmtId="168" fontId="0" fillId="0" borderId="0" xfId="0" applyNumberFormat="1"/>
    <xf numFmtId="0" fontId="4" fillId="3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right" vertical="center" wrapText="1" readingOrder="2"/>
    </xf>
    <xf numFmtId="0" fontId="0" fillId="0" borderId="0" xfId="0" applyFont="1" applyAlignment="1">
      <alignment horizontal="center" readingOrder="2"/>
    </xf>
    <xf numFmtId="0" fontId="5" fillId="2" borderId="1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readingOrder="2"/>
    </xf>
    <xf numFmtId="0" fontId="4" fillId="3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readingOrder="2"/>
    </xf>
    <xf numFmtId="0" fontId="3" fillId="5" borderId="8" xfId="0" applyFont="1" applyFill="1" applyBorder="1" applyAlignment="1">
      <alignment horizontal="right" vertical="center" wrapText="1" readingOrder="2"/>
    </xf>
    <xf numFmtId="0" fontId="3" fillId="5" borderId="9" xfId="0" applyFont="1" applyFill="1" applyBorder="1" applyAlignment="1">
      <alignment horizontal="right" vertical="center" wrapText="1" readingOrder="2"/>
    </xf>
    <xf numFmtId="0" fontId="4" fillId="5" borderId="8" xfId="0" applyFont="1" applyFill="1" applyBorder="1" applyAlignment="1">
      <alignment horizontal="right" vertical="center" wrapText="1"/>
    </xf>
    <xf numFmtId="0" fontId="4" fillId="5" borderId="9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right" vertical="center" wrapText="1" readingOrder="2"/>
    </xf>
    <xf numFmtId="0" fontId="4" fillId="5" borderId="9" xfId="0" applyFont="1" applyFill="1" applyBorder="1" applyAlignment="1">
      <alignment horizontal="right" vertical="center" wrapText="1" readingOrder="2"/>
    </xf>
    <xf numFmtId="0" fontId="3" fillId="5" borderId="10" xfId="0" applyFont="1" applyFill="1" applyBorder="1" applyAlignment="1">
      <alignment horizontal="right" vertical="center" wrapText="1" readingOrder="2"/>
    </xf>
    <xf numFmtId="0" fontId="3" fillId="5" borderId="11" xfId="0" applyFont="1" applyFill="1" applyBorder="1" applyAlignment="1">
      <alignment horizontal="right" vertical="center" wrapText="1" readingOrder="2"/>
    </xf>
    <xf numFmtId="0" fontId="3" fillId="5" borderId="2" xfId="0" applyFont="1" applyFill="1" applyBorder="1" applyAlignment="1">
      <alignment horizontal="right" vertical="center" wrapText="1" readingOrder="2"/>
    </xf>
    <xf numFmtId="0" fontId="3" fillId="5" borderId="30" xfId="0" applyFont="1" applyFill="1" applyBorder="1" applyAlignment="1">
      <alignment horizontal="right" vertical="center" wrapText="1" readingOrder="2"/>
    </xf>
    <xf numFmtId="0" fontId="3" fillId="5" borderId="31" xfId="0" applyFont="1" applyFill="1" applyBorder="1" applyAlignment="1">
      <alignment horizontal="right" vertical="center" wrapText="1" readingOrder="2"/>
    </xf>
    <xf numFmtId="0" fontId="4" fillId="6" borderId="0" xfId="0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 wrapText="1" readingOrder="2"/>
    </xf>
    <xf numFmtId="164" fontId="7" fillId="4" borderId="0" xfId="0" applyNumberFormat="1" applyFont="1" applyFill="1" applyBorder="1" applyAlignment="1">
      <alignment horizontal="right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50"/>
  <sheetViews>
    <sheetView rightToLeft="1" tabSelected="1" view="pageBreakPreview" topLeftCell="A9" zoomScaleNormal="100" zoomScaleSheetLayoutView="100" workbookViewId="0">
      <selection activeCell="M10" sqref="M10"/>
    </sheetView>
  </sheetViews>
  <sheetFormatPr defaultRowHeight="15" x14ac:dyDescent="0.25"/>
  <cols>
    <col min="1" max="1" width="18.28515625" customWidth="1"/>
    <col min="2" max="5" width="20.140625" customWidth="1"/>
    <col min="6" max="6" width="18.42578125" customWidth="1"/>
    <col min="7" max="7" width="0" hidden="1" customWidth="1"/>
    <col min="8" max="8" width="2.42578125" customWidth="1"/>
    <col min="9" max="9" width="6.7109375" customWidth="1"/>
    <col min="12" max="16" width="12.140625" customWidth="1"/>
    <col min="20" max="22" width="0" hidden="1" customWidth="1"/>
    <col min="23" max="23" width="18.5703125" customWidth="1"/>
    <col min="24" max="24" width="11.85546875" customWidth="1"/>
    <col min="25" max="25" width="10.85546875" customWidth="1"/>
    <col min="26" max="26" width="12.28515625" customWidth="1"/>
    <col min="27" max="27" width="11.5703125" customWidth="1"/>
  </cols>
  <sheetData>
    <row r="1" spans="1:9" ht="35.25" customHeight="1" x14ac:dyDescent="0.25">
      <c r="A1" s="47" t="s">
        <v>58</v>
      </c>
      <c r="B1" s="48"/>
      <c r="C1" s="48"/>
      <c r="D1" s="48"/>
      <c r="E1" s="49"/>
    </row>
    <row r="2" spans="1:9" ht="15" customHeight="1" x14ac:dyDescent="0.25">
      <c r="A2" s="50" t="s">
        <v>9</v>
      </c>
      <c r="B2" s="52" t="s">
        <v>38</v>
      </c>
      <c r="C2" s="52" t="s">
        <v>39</v>
      </c>
      <c r="D2" s="52" t="s">
        <v>23</v>
      </c>
      <c r="E2" s="54" t="s">
        <v>12</v>
      </c>
    </row>
    <row r="3" spans="1:9" ht="39" customHeight="1" x14ac:dyDescent="0.25">
      <c r="A3" s="51"/>
      <c r="B3" s="52"/>
      <c r="C3" s="52"/>
      <c r="D3" s="52"/>
      <c r="E3" s="54"/>
    </row>
    <row r="4" spans="1:9" ht="15.75" hidden="1" x14ac:dyDescent="0.25">
      <c r="A4" s="8">
        <v>2004</v>
      </c>
      <c r="B4" s="7">
        <v>6489</v>
      </c>
      <c r="C4" s="7">
        <v>1158.8</v>
      </c>
      <c r="D4" s="7">
        <v>2113</v>
      </c>
      <c r="E4" s="19">
        <f t="shared" ref="E4" si="0">(D4/B4)*100</f>
        <v>32.562798582216054</v>
      </c>
    </row>
    <row r="5" spans="1:9" ht="15.75" hidden="1" x14ac:dyDescent="0.25">
      <c r="A5" s="8">
        <v>2005</v>
      </c>
      <c r="B5" s="7">
        <v>7028</v>
      </c>
      <c r="C5" s="7">
        <v>1211.7</v>
      </c>
      <c r="D5" s="7">
        <v>2249</v>
      </c>
      <c r="E5" s="19">
        <f t="shared" ref="E5" si="1">(D5/B5)*100</f>
        <v>32.000569151963575</v>
      </c>
    </row>
    <row r="6" spans="1:9" ht="15.75" x14ac:dyDescent="0.25">
      <c r="A6" s="8">
        <v>2006</v>
      </c>
      <c r="B6" s="6">
        <v>7187</v>
      </c>
      <c r="C6" s="7">
        <v>1218.0999999999999</v>
      </c>
      <c r="D6" s="7">
        <v>2591</v>
      </c>
      <c r="E6" s="42">
        <v>0.36051203561986922</v>
      </c>
    </row>
    <row r="7" spans="1:9" ht="15.75" x14ac:dyDescent="0.25">
      <c r="A7" s="8">
        <v>2007</v>
      </c>
      <c r="B7" s="6">
        <v>7438</v>
      </c>
      <c r="C7" s="7">
        <v>1219.3</v>
      </c>
      <c r="D7" s="7">
        <v>2916</v>
      </c>
      <c r="E7" s="42">
        <v>0.39204087120193598</v>
      </c>
    </row>
    <row r="8" spans="1:9" ht="15.75" x14ac:dyDescent="0.25">
      <c r="A8" s="8">
        <v>2008</v>
      </c>
      <c r="B8" s="6">
        <v>7335</v>
      </c>
      <c r="C8" s="7">
        <v>1164.3</v>
      </c>
      <c r="D8" s="7">
        <v>3182</v>
      </c>
      <c r="E8" s="42">
        <v>0.43381049761417861</v>
      </c>
    </row>
    <row r="9" spans="1:9" ht="15.75" x14ac:dyDescent="0.25">
      <c r="A9" s="8">
        <v>2009</v>
      </c>
      <c r="B9" s="6">
        <v>7739</v>
      </c>
      <c r="C9" s="7">
        <v>1190.5999999999999</v>
      </c>
      <c r="D9" s="7">
        <v>3357</v>
      </c>
      <c r="E9" s="42">
        <v>0.43377697376922081</v>
      </c>
    </row>
    <row r="10" spans="1:9" ht="15.75" x14ac:dyDescent="0.25">
      <c r="A10" s="8">
        <v>2010</v>
      </c>
      <c r="B10" s="6">
        <v>7357</v>
      </c>
      <c r="C10" s="7">
        <v>1098.0999999999999</v>
      </c>
      <c r="D10" s="7">
        <v>3194</v>
      </c>
      <c r="E10" s="42">
        <v>0.43414435231752074</v>
      </c>
    </row>
    <row r="11" spans="1:9" ht="15.75" x14ac:dyDescent="0.25">
      <c r="A11" s="8">
        <v>2011</v>
      </c>
      <c r="B11" s="6">
        <v>7457</v>
      </c>
      <c r="C11" s="7">
        <v>1065.3</v>
      </c>
      <c r="D11" s="7">
        <v>3092.7</v>
      </c>
      <c r="E11" s="42">
        <v>0.41473783022663269</v>
      </c>
    </row>
    <row r="12" spans="1:9" ht="15.75" x14ac:dyDescent="0.25">
      <c r="A12" s="8">
        <v>2012</v>
      </c>
      <c r="B12" s="6">
        <v>8206</v>
      </c>
      <c r="C12" s="7">
        <v>1108.9000000000001</v>
      </c>
      <c r="D12" s="7">
        <v>3479</v>
      </c>
      <c r="E12" s="42">
        <v>0.423958079454058</v>
      </c>
    </row>
    <row r="13" spans="1:9" ht="15.75" x14ac:dyDescent="0.25">
      <c r="A13" s="8">
        <v>2013</v>
      </c>
      <c r="B13" s="6">
        <v>8157</v>
      </c>
      <c r="C13" s="7">
        <v>1007</v>
      </c>
      <c r="D13" s="7">
        <v>3598.9</v>
      </c>
      <c r="E13" s="42">
        <v>0.44120387397327449</v>
      </c>
    </row>
    <row r="14" spans="1:9" ht="15.75" x14ac:dyDescent="0.25">
      <c r="A14" s="8">
        <v>2014</v>
      </c>
      <c r="B14" s="6">
        <v>8461</v>
      </c>
      <c r="C14" s="7">
        <v>1272.4000000000001</v>
      </c>
      <c r="D14" s="7">
        <v>3726.1</v>
      </c>
      <c r="E14" s="42">
        <v>0.44038529724618836</v>
      </c>
    </row>
    <row r="15" spans="1:9" ht="15.75" x14ac:dyDescent="0.25">
      <c r="A15" s="8">
        <v>2015</v>
      </c>
      <c r="B15" s="6">
        <v>8927</v>
      </c>
      <c r="C15" s="7">
        <v>1373</v>
      </c>
      <c r="D15" s="7">
        <v>3833</v>
      </c>
      <c r="E15" s="42">
        <v>0.42937156939621374</v>
      </c>
    </row>
    <row r="16" spans="1:9" ht="15.75" x14ac:dyDescent="0.25">
      <c r="A16" s="8">
        <v>2016</v>
      </c>
      <c r="B16" s="6">
        <v>9614.777399999999</v>
      </c>
      <c r="C16" s="7">
        <v>981.29999999999984</v>
      </c>
      <c r="D16" s="7">
        <v>3735.3</v>
      </c>
      <c r="E16" s="42">
        <v>0.38849573366097906</v>
      </c>
      <c r="I16" s="4"/>
    </row>
    <row r="17" spans="1:9" ht="15.75" x14ac:dyDescent="0.25">
      <c r="A17" s="8">
        <v>2017</v>
      </c>
      <c r="B17" s="6">
        <v>10008.766800000001</v>
      </c>
      <c r="C17" s="7">
        <v>995.6</v>
      </c>
      <c r="D17" s="7">
        <v>3804.4</v>
      </c>
      <c r="E17" s="42">
        <v>0.38010676799863091</v>
      </c>
      <c r="I17" s="4"/>
    </row>
    <row r="18" spans="1:9" ht="15.75" x14ac:dyDescent="0.25">
      <c r="A18" s="8">
        <v>2018</v>
      </c>
      <c r="B18" s="6">
        <v>9759</v>
      </c>
      <c r="C18" s="7">
        <v>946.6485595111069</v>
      </c>
      <c r="D18" s="7">
        <v>3526.4</v>
      </c>
      <c r="E18" s="42">
        <v>0.36134849882160058</v>
      </c>
      <c r="I18" s="4"/>
    </row>
    <row r="19" spans="1:9" ht="15.75" x14ac:dyDescent="0.25">
      <c r="A19" s="8">
        <v>2019</v>
      </c>
      <c r="B19" s="6">
        <v>9266</v>
      </c>
      <c r="C19" s="7">
        <v>877.96096266818267</v>
      </c>
      <c r="D19" s="7">
        <v>3360.5</v>
      </c>
      <c r="E19" s="42">
        <v>0.3626699762572847</v>
      </c>
      <c r="I19" s="4"/>
    </row>
    <row r="20" spans="1:9" ht="15.75" x14ac:dyDescent="0.25">
      <c r="A20" s="8">
        <v>2020</v>
      </c>
      <c r="B20" s="6">
        <v>8583</v>
      </c>
      <c r="C20" s="7">
        <v>794.28095502498616</v>
      </c>
      <c r="D20" s="7">
        <v>3202.1</v>
      </c>
      <c r="E20" s="42">
        <v>0.3730746825119422</v>
      </c>
      <c r="I20" s="4"/>
    </row>
    <row r="21" spans="1:9" ht="15.75" x14ac:dyDescent="0.25">
      <c r="A21" s="36">
        <v>2021</v>
      </c>
      <c r="B21" s="40">
        <v>8726</v>
      </c>
      <c r="C21" s="37">
        <v>789.18332278194805</v>
      </c>
      <c r="D21" s="37">
        <v>3136.4</v>
      </c>
      <c r="E21" s="42">
        <v>0.35943158377263351</v>
      </c>
      <c r="I21" s="4"/>
    </row>
    <row r="22" spans="1:9" ht="15.75" x14ac:dyDescent="0.25">
      <c r="A22" s="38" t="s">
        <v>56</v>
      </c>
      <c r="B22" s="40">
        <v>9471</v>
      </c>
      <c r="C22" s="37">
        <v>838.1415929203539</v>
      </c>
      <c r="D22" s="37" t="s">
        <v>50</v>
      </c>
      <c r="E22" s="41">
        <v>0.34969908140639849</v>
      </c>
      <c r="I22" s="4"/>
    </row>
    <row r="23" spans="1:9" ht="16.5" thickBot="1" x14ac:dyDescent="0.3">
      <c r="A23" s="10" t="s">
        <v>57</v>
      </c>
      <c r="B23" s="20" t="s">
        <v>52</v>
      </c>
      <c r="C23" s="20"/>
      <c r="D23" s="20">
        <v>4063.1</v>
      </c>
      <c r="E23" s="21"/>
      <c r="I23" s="4"/>
    </row>
    <row r="24" spans="1:9" ht="15.75" x14ac:dyDescent="0.25">
      <c r="A24" s="22" t="s">
        <v>44</v>
      </c>
      <c r="B24" s="53" t="s">
        <v>51</v>
      </c>
      <c r="C24" s="53"/>
      <c r="D24" s="53"/>
      <c r="E24" s="13"/>
    </row>
    <row r="25" spans="1:9" ht="15.75" thickBot="1" x14ac:dyDescent="0.3"/>
    <row r="26" spans="1:9" ht="30.75" customHeight="1" x14ac:dyDescent="0.25">
      <c r="A26" s="47" t="s">
        <v>59</v>
      </c>
      <c r="B26" s="48"/>
      <c r="C26" s="48"/>
      <c r="D26" s="48"/>
      <c r="E26" s="48"/>
      <c r="F26" s="48"/>
      <c r="G26" s="49"/>
      <c r="H26" s="13"/>
    </row>
    <row r="27" spans="1:9" ht="15" customHeight="1" x14ac:dyDescent="0.25">
      <c r="A27" s="50" t="s">
        <v>9</v>
      </c>
      <c r="B27" s="52" t="s">
        <v>13</v>
      </c>
      <c r="C27" s="52" t="s">
        <v>14</v>
      </c>
      <c r="D27" s="52" t="s">
        <v>15</v>
      </c>
      <c r="E27" s="52" t="s">
        <v>16</v>
      </c>
      <c r="F27" s="52" t="s">
        <v>11</v>
      </c>
      <c r="G27" s="55" t="s">
        <v>17</v>
      </c>
      <c r="H27" s="13"/>
    </row>
    <row r="28" spans="1:9" ht="30" customHeight="1" x14ac:dyDescent="0.25">
      <c r="A28" s="51"/>
      <c r="B28" s="52"/>
      <c r="C28" s="52"/>
      <c r="D28" s="52"/>
      <c r="E28" s="52"/>
      <c r="F28" s="52"/>
      <c r="G28" s="55"/>
      <c r="H28" s="13"/>
    </row>
    <row r="29" spans="1:9" ht="15.75" hidden="1" x14ac:dyDescent="0.25">
      <c r="A29" s="8">
        <v>2004</v>
      </c>
      <c r="B29" s="9">
        <v>1.6E-2</v>
      </c>
      <c r="C29" s="6">
        <v>697</v>
      </c>
      <c r="D29" s="6">
        <v>236.7</v>
      </c>
      <c r="E29" s="6">
        <v>133.19999999999999</v>
      </c>
      <c r="F29" s="6">
        <f>SUM(B29:E29)</f>
        <v>1066.9159999999999</v>
      </c>
      <c r="G29" s="14">
        <v>5.2</v>
      </c>
      <c r="H29" s="13"/>
    </row>
    <row r="30" spans="1:9" ht="15.75" hidden="1" x14ac:dyDescent="0.25">
      <c r="A30" s="8">
        <v>2005</v>
      </c>
      <c r="B30" s="9">
        <v>1.4E-2</v>
      </c>
      <c r="C30" s="6">
        <v>738.7</v>
      </c>
      <c r="D30" s="6">
        <v>250.6</v>
      </c>
      <c r="E30" s="6">
        <v>139.80000000000001</v>
      </c>
      <c r="F30" s="6">
        <f t="shared" ref="F30" si="2">SUM(B30:E30)</f>
        <v>1129.114</v>
      </c>
      <c r="G30" s="15">
        <f t="shared" ref="G30:G39" si="3">((F30/F29)-1)*100</f>
        <v>5.8296998076699635</v>
      </c>
      <c r="H30" s="13"/>
    </row>
    <row r="31" spans="1:9" ht="15.75" x14ac:dyDescent="0.25">
      <c r="A31" s="8">
        <v>2006</v>
      </c>
      <c r="B31" s="9">
        <v>1.4E-2</v>
      </c>
      <c r="C31" s="6">
        <v>780.7</v>
      </c>
      <c r="D31" s="6">
        <v>266.8</v>
      </c>
      <c r="E31" s="6">
        <v>147.4</v>
      </c>
      <c r="F31" s="6">
        <v>1194.9140000000002</v>
      </c>
      <c r="G31" s="15">
        <f t="shared" si="3"/>
        <v>5.8275780833467739</v>
      </c>
      <c r="H31" s="13"/>
    </row>
    <row r="32" spans="1:9" ht="15.75" x14ac:dyDescent="0.25">
      <c r="A32" s="8">
        <v>2007</v>
      </c>
      <c r="B32" s="9">
        <v>1.2999999999999999E-2</v>
      </c>
      <c r="C32" s="6">
        <v>824.5</v>
      </c>
      <c r="D32" s="6">
        <v>282.60000000000002</v>
      </c>
      <c r="E32" s="6">
        <v>154.5</v>
      </c>
      <c r="F32" s="6">
        <v>1261.6130000000001</v>
      </c>
      <c r="G32" s="15">
        <f t="shared" si="3"/>
        <v>5.581907986683543</v>
      </c>
      <c r="H32" s="13"/>
    </row>
    <row r="33" spans="1:8" ht="15.75" x14ac:dyDescent="0.25">
      <c r="A33" s="8">
        <v>2008</v>
      </c>
      <c r="B33" s="9">
        <v>1.6E-2</v>
      </c>
      <c r="C33" s="6">
        <v>881</v>
      </c>
      <c r="D33" s="6">
        <v>307.5</v>
      </c>
      <c r="E33" s="6">
        <v>163.19999999999999</v>
      </c>
      <c r="F33" s="6">
        <v>1351.7160000000001</v>
      </c>
      <c r="G33" s="15">
        <f t="shared" si="3"/>
        <v>7.1418889944856456</v>
      </c>
      <c r="H33" s="13"/>
    </row>
    <row r="34" spans="1:8" ht="15.75" x14ac:dyDescent="0.25">
      <c r="A34" s="8">
        <v>2009</v>
      </c>
      <c r="B34" s="9">
        <v>1.6E-2</v>
      </c>
      <c r="C34" s="6">
        <v>928.5</v>
      </c>
      <c r="D34" s="6">
        <v>325.2</v>
      </c>
      <c r="E34" s="6">
        <v>172.1</v>
      </c>
      <c r="F34" s="6">
        <v>1425.8159999999998</v>
      </c>
      <c r="G34" s="15">
        <f t="shared" si="3"/>
        <v>5.481920758502512</v>
      </c>
      <c r="H34" s="13"/>
    </row>
    <row r="35" spans="1:8" ht="15.75" x14ac:dyDescent="0.25">
      <c r="A35" s="8">
        <v>2010</v>
      </c>
      <c r="B35" s="9">
        <v>1.4999999999999999E-2</v>
      </c>
      <c r="C35" s="6">
        <v>973.8</v>
      </c>
      <c r="D35" s="6">
        <v>343.1</v>
      </c>
      <c r="E35" s="6">
        <v>180.8</v>
      </c>
      <c r="F35" s="6">
        <v>1497.7149999999999</v>
      </c>
      <c r="G35" s="15">
        <f t="shared" si="3"/>
        <v>5.04265627542404</v>
      </c>
      <c r="H35" s="13"/>
    </row>
    <row r="36" spans="1:8" ht="15.75" x14ac:dyDescent="0.25">
      <c r="A36" s="8">
        <v>2011</v>
      </c>
      <c r="B36" s="9">
        <v>1.7000000000000001E-2</v>
      </c>
      <c r="C36" s="6">
        <v>1022.1</v>
      </c>
      <c r="D36" s="6">
        <v>362</v>
      </c>
      <c r="E36" s="6">
        <v>190</v>
      </c>
      <c r="F36" s="6">
        <v>1574.1170000000002</v>
      </c>
      <c r="G36" s="15">
        <f t="shared" si="3"/>
        <v>5.1012375518707076</v>
      </c>
      <c r="H36" s="13"/>
    </row>
    <row r="37" spans="1:8" ht="15.75" x14ac:dyDescent="0.25">
      <c r="A37" s="8">
        <v>2012</v>
      </c>
      <c r="B37" s="9">
        <v>1.7000000000000001E-2</v>
      </c>
      <c r="C37" s="6">
        <v>1071.5999999999999</v>
      </c>
      <c r="D37" s="6">
        <v>383.4</v>
      </c>
      <c r="E37" s="6">
        <v>199.3</v>
      </c>
      <c r="F37" s="6">
        <v>1654.3169999999998</v>
      </c>
      <c r="G37" s="15">
        <f t="shared" si="3"/>
        <v>5.0949198820671837</v>
      </c>
      <c r="H37" s="13"/>
    </row>
    <row r="38" spans="1:8" ht="15.75" x14ac:dyDescent="0.25">
      <c r="A38" s="8">
        <v>2013</v>
      </c>
      <c r="B38" s="9">
        <v>1.7999999999999999E-2</v>
      </c>
      <c r="C38" s="6">
        <v>1122.3</v>
      </c>
      <c r="D38" s="6">
        <v>412.5</v>
      </c>
      <c r="E38" s="6">
        <v>209.6</v>
      </c>
      <c r="F38" s="6">
        <v>1744.4179999999999</v>
      </c>
      <c r="G38" s="15">
        <f t="shared" si="3"/>
        <v>5.4464168596466189</v>
      </c>
      <c r="H38" s="13"/>
    </row>
    <row r="39" spans="1:8" ht="15.75" x14ac:dyDescent="0.25">
      <c r="A39" s="8">
        <v>2014</v>
      </c>
      <c r="B39" s="9">
        <v>1.7999999999999999E-2</v>
      </c>
      <c r="C39" s="6">
        <v>1200.3</v>
      </c>
      <c r="D39" s="6">
        <v>442.4</v>
      </c>
      <c r="E39" s="6">
        <v>218.8</v>
      </c>
      <c r="F39" s="6">
        <v>1861.5179999999998</v>
      </c>
      <c r="G39" s="15">
        <f t="shared" si="3"/>
        <v>6.7128406150360753</v>
      </c>
      <c r="H39" s="13"/>
    </row>
    <row r="40" spans="1:8" ht="15.75" x14ac:dyDescent="0.25">
      <c r="A40" s="8">
        <v>2015</v>
      </c>
      <c r="B40" s="9">
        <v>0.02</v>
      </c>
      <c r="C40" s="6">
        <v>1265.9000000000001</v>
      </c>
      <c r="D40" s="6">
        <v>471</v>
      </c>
      <c r="E40" s="6">
        <v>227.6</v>
      </c>
      <c r="F40" s="6">
        <v>1964.52</v>
      </c>
      <c r="G40" s="15">
        <f>((F40/F39)-1)*100</f>
        <v>5.5332261090142554</v>
      </c>
      <c r="H40" s="13"/>
    </row>
    <row r="41" spans="1:8" ht="15.75" x14ac:dyDescent="0.25">
      <c r="A41" s="8">
        <v>2016</v>
      </c>
      <c r="B41" s="9">
        <v>3.3000000000000002E-2</v>
      </c>
      <c r="C41" s="6">
        <v>1328.4</v>
      </c>
      <c r="D41" s="6">
        <v>495.5</v>
      </c>
      <c r="E41" s="6">
        <v>236.8</v>
      </c>
      <c r="F41" s="6">
        <v>2060.7330000000002</v>
      </c>
      <c r="G41" s="15">
        <f>((F41/F40)-1)*100</f>
        <v>4.8975322216114003</v>
      </c>
      <c r="H41" s="13"/>
    </row>
    <row r="42" spans="1:8" ht="15.75" x14ac:dyDescent="0.25">
      <c r="A42" s="8">
        <v>2017</v>
      </c>
      <c r="B42" s="9">
        <v>3.5000000000000003E-2</v>
      </c>
      <c r="C42" s="6">
        <v>1391</v>
      </c>
      <c r="D42" s="6">
        <v>521</v>
      </c>
      <c r="E42" s="6">
        <v>246</v>
      </c>
      <c r="F42" s="6">
        <v>2158.0349999999999</v>
      </c>
      <c r="G42" s="15"/>
      <c r="H42" s="13"/>
    </row>
    <row r="43" spans="1:8" ht="15.75" x14ac:dyDescent="0.25">
      <c r="A43" s="8">
        <v>2018</v>
      </c>
      <c r="B43" s="9">
        <v>0.04</v>
      </c>
      <c r="C43" s="6">
        <v>1439</v>
      </c>
      <c r="D43" s="6">
        <v>546</v>
      </c>
      <c r="E43" s="6">
        <v>253</v>
      </c>
      <c r="F43" s="6">
        <v>2238.04</v>
      </c>
      <c r="G43" s="15"/>
      <c r="H43" s="13"/>
    </row>
    <row r="44" spans="1:8" ht="15.75" x14ac:dyDescent="0.25">
      <c r="A44" s="8">
        <v>2019</v>
      </c>
      <c r="B44" s="9">
        <v>4.5999999999999999E-2</v>
      </c>
      <c r="C44" s="6">
        <v>1489</v>
      </c>
      <c r="D44" s="6">
        <v>566</v>
      </c>
      <c r="E44" s="6">
        <v>262</v>
      </c>
      <c r="F44" s="6">
        <v>2317.0460000000003</v>
      </c>
      <c r="G44" s="15"/>
      <c r="H44" s="13"/>
    </row>
    <row r="45" spans="1:8" ht="15.75" x14ac:dyDescent="0.25">
      <c r="A45" s="8">
        <v>2020</v>
      </c>
      <c r="B45" s="9">
        <v>4.9000000000000002E-2</v>
      </c>
      <c r="C45" s="6">
        <v>1500</v>
      </c>
      <c r="D45" s="6">
        <v>574</v>
      </c>
      <c r="E45" s="6">
        <v>271.16999999999996</v>
      </c>
      <c r="F45" s="6">
        <v>2345.2190000000001</v>
      </c>
      <c r="G45" s="16"/>
      <c r="H45" s="13"/>
    </row>
    <row r="46" spans="1:8" ht="15.75" x14ac:dyDescent="0.25">
      <c r="A46" s="8">
        <v>2021</v>
      </c>
      <c r="B46" s="39">
        <v>5.6000000000000001E-2</v>
      </c>
      <c r="C46" s="40">
        <v>1549.8</v>
      </c>
      <c r="D46" s="40">
        <v>598.79999999999995</v>
      </c>
      <c r="E46" s="40">
        <v>249.6</v>
      </c>
      <c r="F46" s="40">
        <v>2398.2559999999999</v>
      </c>
      <c r="G46" s="16"/>
      <c r="H46" s="13"/>
    </row>
    <row r="47" spans="1:8" ht="15.75" x14ac:dyDescent="0.25">
      <c r="A47" s="8">
        <v>2022</v>
      </c>
      <c r="B47" s="39">
        <v>6.2E-2</v>
      </c>
      <c r="C47" s="40">
        <v>1583.6</v>
      </c>
      <c r="D47" s="40">
        <v>614.79999999999995</v>
      </c>
      <c r="E47" s="40">
        <v>255.2</v>
      </c>
      <c r="F47" s="40">
        <v>2453.6619999999994</v>
      </c>
      <c r="G47" s="16"/>
      <c r="H47" s="13"/>
    </row>
    <row r="48" spans="1:8" ht="16.5" thickBot="1" x14ac:dyDescent="0.3">
      <c r="A48" s="10" t="s">
        <v>57</v>
      </c>
      <c r="B48" s="11">
        <v>0.06</v>
      </c>
      <c r="C48" s="12" t="s">
        <v>52</v>
      </c>
      <c r="D48" s="12" t="s">
        <v>52</v>
      </c>
      <c r="E48" s="12" t="s">
        <v>52</v>
      </c>
      <c r="F48" s="12">
        <v>0.06</v>
      </c>
      <c r="G48" s="17">
        <f>((F48/F41)-1)*100</f>
        <v>-99.997088414656346</v>
      </c>
      <c r="H48" s="13"/>
    </row>
    <row r="49" spans="1:8" ht="15.75" x14ac:dyDescent="0.25">
      <c r="A49" s="18" t="s">
        <v>53</v>
      </c>
      <c r="B49" s="18"/>
      <c r="C49" s="13"/>
      <c r="D49" s="13"/>
      <c r="E49" s="13"/>
      <c r="F49" s="13"/>
      <c r="G49" s="13"/>
      <c r="H49" s="13"/>
    </row>
    <row r="50" spans="1:8" ht="15.75" x14ac:dyDescent="0.25">
      <c r="A50" s="13"/>
      <c r="B50" s="13"/>
      <c r="C50" s="13"/>
      <c r="D50" s="13"/>
      <c r="E50" s="13"/>
      <c r="F50" s="13"/>
      <c r="G50" s="13"/>
      <c r="H50" s="13"/>
    </row>
  </sheetData>
  <mergeCells count="15">
    <mergeCell ref="C27:C28"/>
    <mergeCell ref="D27:D28"/>
    <mergeCell ref="E27:E28"/>
    <mergeCell ref="F27:F28"/>
    <mergeCell ref="G27:G28"/>
    <mergeCell ref="A1:E1"/>
    <mergeCell ref="A2:A3"/>
    <mergeCell ref="B2:B3"/>
    <mergeCell ref="C2:C3"/>
    <mergeCell ref="D2:D3"/>
    <mergeCell ref="E2:E3"/>
    <mergeCell ref="A26:G26"/>
    <mergeCell ref="A27:A28"/>
    <mergeCell ref="B27:B28"/>
    <mergeCell ref="B24:D24"/>
  </mergeCells>
  <pageMargins left="0.7" right="0.7" top="0.75" bottom="0.75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I3:P27"/>
  <sheetViews>
    <sheetView rightToLeft="1" view="pageBreakPreview" topLeftCell="B19" zoomScaleNormal="100" zoomScaleSheetLayoutView="100" workbookViewId="0">
      <selection activeCell="I39" sqref="I39"/>
    </sheetView>
  </sheetViews>
  <sheetFormatPr defaultRowHeight="15" x14ac:dyDescent="0.25"/>
  <cols>
    <col min="7" max="7" width="20" customWidth="1"/>
    <col min="8" max="8" width="2" customWidth="1"/>
    <col min="9" max="9" width="21.42578125" customWidth="1"/>
    <col min="10" max="10" width="32.85546875" customWidth="1"/>
    <col min="11" max="12" width="15.42578125" customWidth="1"/>
  </cols>
  <sheetData>
    <row r="3" spans="9:16" ht="31.5" customHeight="1" x14ac:dyDescent="0.25">
      <c r="I3" s="56" t="s">
        <v>65</v>
      </c>
      <c r="J3" s="57"/>
      <c r="K3" s="57"/>
      <c r="L3" s="58"/>
    </row>
    <row r="4" spans="9:16" ht="27.75" customHeight="1" x14ac:dyDescent="0.25">
      <c r="I4" s="64"/>
      <c r="J4" s="65"/>
      <c r="K4" s="44" t="s">
        <v>57</v>
      </c>
      <c r="L4" s="44">
        <v>2022</v>
      </c>
    </row>
    <row r="5" spans="9:16" ht="23.25" customHeight="1" x14ac:dyDescent="0.25">
      <c r="I5" s="62" t="s">
        <v>68</v>
      </c>
      <c r="J5" s="63"/>
      <c r="K5" s="7"/>
      <c r="L5" s="7">
        <f>L7+L17</f>
        <v>24096.915359999999</v>
      </c>
    </row>
    <row r="6" spans="9:16" ht="23.25" customHeight="1" x14ac:dyDescent="0.25">
      <c r="I6" s="66" t="s">
        <v>8</v>
      </c>
      <c r="J6" s="67"/>
      <c r="K6" s="7">
        <f>SUM(K8:K15)</f>
        <v>21794.300000000003</v>
      </c>
      <c r="L6" s="7">
        <f>SUM(L8:L15)</f>
        <v>21091.3</v>
      </c>
    </row>
    <row r="7" spans="9:16" ht="23.25" customHeight="1" x14ac:dyDescent="0.25">
      <c r="I7" s="66" t="s">
        <v>60</v>
      </c>
      <c r="J7" s="67"/>
      <c r="K7" s="7"/>
      <c r="L7" s="7">
        <f>IF(L16=0,L6,(L6+L16))</f>
        <v>22996.915359999999</v>
      </c>
    </row>
    <row r="8" spans="9:16" ht="23.25" customHeight="1" x14ac:dyDescent="0.25">
      <c r="I8" s="60" t="s">
        <v>18</v>
      </c>
      <c r="J8" s="61"/>
      <c r="K8" s="7">
        <f>60.9+3068.6</f>
        <v>3129.5</v>
      </c>
      <c r="L8" s="7">
        <v>1301.4000000000001</v>
      </c>
      <c r="P8" s="3"/>
    </row>
    <row r="9" spans="9:16" ht="23.25" customHeight="1" x14ac:dyDescent="0.25">
      <c r="I9" s="60" t="s">
        <v>31</v>
      </c>
      <c r="J9" s="61"/>
      <c r="K9" s="7">
        <f>201.5+349.9</f>
        <v>551.4</v>
      </c>
      <c r="L9" s="7">
        <v>1127</v>
      </c>
    </row>
    <row r="10" spans="9:16" ht="23.25" customHeight="1" x14ac:dyDescent="0.25">
      <c r="I10" s="60" t="s">
        <v>32</v>
      </c>
      <c r="J10" s="61"/>
      <c r="K10" s="7">
        <f>111.9+419.6</f>
        <v>531.5</v>
      </c>
      <c r="L10" s="7">
        <v>498.5</v>
      </c>
    </row>
    <row r="11" spans="9:16" ht="23.25" customHeight="1" x14ac:dyDescent="0.25">
      <c r="I11" s="60" t="s">
        <v>33</v>
      </c>
      <c r="J11" s="61"/>
      <c r="K11" s="7">
        <f>127.2+5684+2265.5+2281.3+3252.6</f>
        <v>13610.6</v>
      </c>
      <c r="L11" s="7">
        <v>13947.7</v>
      </c>
    </row>
    <row r="12" spans="9:16" ht="23.25" customHeight="1" x14ac:dyDescent="0.25">
      <c r="I12" s="60" t="s">
        <v>34</v>
      </c>
      <c r="J12" s="61"/>
      <c r="K12" s="7">
        <v>1649.9</v>
      </c>
      <c r="L12" s="7">
        <v>1750</v>
      </c>
      <c r="N12" s="3"/>
    </row>
    <row r="13" spans="9:16" ht="23.25" customHeight="1" x14ac:dyDescent="0.25">
      <c r="I13" s="60" t="s">
        <v>19</v>
      </c>
      <c r="J13" s="61"/>
      <c r="K13" s="7">
        <v>22.4</v>
      </c>
      <c r="L13" s="7">
        <v>19.100000000000001</v>
      </c>
    </row>
    <row r="14" spans="9:16" ht="23.25" customHeight="1" x14ac:dyDescent="0.25">
      <c r="I14" s="60" t="s">
        <v>0</v>
      </c>
      <c r="J14" s="61"/>
      <c r="K14" s="7">
        <v>3.5</v>
      </c>
      <c r="L14" s="7">
        <v>3.5</v>
      </c>
      <c r="N14" s="3"/>
    </row>
    <row r="15" spans="9:16" ht="23.25" customHeight="1" x14ac:dyDescent="0.25">
      <c r="I15" s="70" t="s">
        <v>10</v>
      </c>
      <c r="J15" s="45" t="s">
        <v>20</v>
      </c>
      <c r="K15" s="7">
        <v>2295.5</v>
      </c>
      <c r="L15" s="7">
        <v>2444.1</v>
      </c>
    </row>
    <row r="16" spans="9:16" ht="23.25" customHeight="1" x14ac:dyDescent="0.25">
      <c r="I16" s="70"/>
      <c r="J16" s="45" t="s">
        <v>42</v>
      </c>
      <c r="K16" s="7" t="s">
        <v>52</v>
      </c>
      <c r="L16" s="7">
        <f>(988.8*0.22*8760)*10^-3</f>
        <v>1905.6153600000002</v>
      </c>
      <c r="N16" s="43"/>
    </row>
    <row r="17" spans="9:12" ht="23.25" customHeight="1" x14ac:dyDescent="0.25">
      <c r="I17" s="66" t="s">
        <v>61</v>
      </c>
      <c r="J17" s="67"/>
      <c r="K17" s="7" t="s">
        <v>52</v>
      </c>
      <c r="L17" s="7">
        <v>1100</v>
      </c>
    </row>
    <row r="18" spans="9:12" ht="26.25" customHeight="1" x14ac:dyDescent="0.25">
      <c r="I18" s="71" t="s">
        <v>64</v>
      </c>
      <c r="J18" s="72"/>
      <c r="K18" s="6">
        <v>22094</v>
      </c>
      <c r="L18" s="6">
        <v>21125</v>
      </c>
    </row>
    <row r="19" spans="9:12" ht="26.25" customHeight="1" x14ac:dyDescent="0.25">
      <c r="I19" s="60" t="s">
        <v>1</v>
      </c>
      <c r="J19" s="61"/>
      <c r="K19" s="7">
        <v>13.6</v>
      </c>
      <c r="L19" s="7">
        <v>13.4</v>
      </c>
    </row>
    <row r="20" spans="9:12" ht="26.25" customHeight="1" x14ac:dyDescent="0.25">
      <c r="I20" s="60" t="s">
        <v>7</v>
      </c>
      <c r="J20" s="61"/>
      <c r="K20" s="7" t="s">
        <v>66</v>
      </c>
      <c r="L20" s="6">
        <v>3311.9</v>
      </c>
    </row>
    <row r="21" spans="9:12" ht="26.25" customHeight="1" x14ac:dyDescent="0.25">
      <c r="I21" s="60" t="s">
        <v>21</v>
      </c>
      <c r="J21" s="61"/>
      <c r="K21" s="6">
        <f>K18/11.33</f>
        <v>1950.0441306266548</v>
      </c>
      <c r="L21" s="6">
        <f>21125/11.06</f>
        <v>1910.0361663652802</v>
      </c>
    </row>
    <row r="22" spans="9:12" ht="26.25" customHeight="1" x14ac:dyDescent="0.25">
      <c r="I22" s="60" t="s">
        <v>2</v>
      </c>
      <c r="J22" s="61"/>
      <c r="K22" s="6" t="s">
        <v>52</v>
      </c>
      <c r="L22" s="6">
        <v>2454</v>
      </c>
    </row>
    <row r="23" spans="9:12" ht="26.25" customHeight="1" x14ac:dyDescent="0.25">
      <c r="I23" s="60" t="s">
        <v>3</v>
      </c>
      <c r="J23" s="61"/>
      <c r="K23" s="7">
        <v>99.9</v>
      </c>
      <c r="L23" s="7">
        <v>99.9</v>
      </c>
    </row>
    <row r="24" spans="9:12" ht="26.25" customHeight="1" x14ac:dyDescent="0.25">
      <c r="I24" s="60" t="s">
        <v>4</v>
      </c>
      <c r="J24" s="61"/>
      <c r="K24" s="6">
        <f>1906+3904+62+17</f>
        <v>5889</v>
      </c>
      <c r="L24" s="6">
        <f>1906+17+3894+62</f>
        <v>5879</v>
      </c>
    </row>
    <row r="25" spans="9:12" ht="26.25" customHeight="1" x14ac:dyDescent="0.25">
      <c r="I25" s="60" t="s">
        <v>5</v>
      </c>
      <c r="J25" s="61"/>
      <c r="K25" s="6" t="s">
        <v>52</v>
      </c>
      <c r="L25" s="6">
        <v>7690</v>
      </c>
    </row>
    <row r="26" spans="9:12" ht="26.25" customHeight="1" x14ac:dyDescent="0.25">
      <c r="I26" s="68" t="s">
        <v>6</v>
      </c>
      <c r="J26" s="69"/>
      <c r="K26" s="33"/>
      <c r="L26" s="33">
        <f>((L8+L9+L10+L11+L12+L13+L15)*1000)/L25</f>
        <v>2742.2366710013002</v>
      </c>
    </row>
    <row r="27" spans="9:12" x14ac:dyDescent="0.25">
      <c r="I27" s="5" t="s">
        <v>62</v>
      </c>
      <c r="J27" s="46" t="s">
        <v>63</v>
      </c>
      <c r="K27" s="59" t="s">
        <v>67</v>
      </c>
      <c r="L27" s="59"/>
    </row>
  </sheetData>
  <mergeCells count="24">
    <mergeCell ref="I3:L3"/>
    <mergeCell ref="I23:J23"/>
    <mergeCell ref="I24:J24"/>
    <mergeCell ref="I25:J25"/>
    <mergeCell ref="I26:J26"/>
    <mergeCell ref="I8:J8"/>
    <mergeCell ref="I9:J9"/>
    <mergeCell ref="I10:J10"/>
    <mergeCell ref="I11:J11"/>
    <mergeCell ref="I12:J12"/>
    <mergeCell ref="I13:J13"/>
    <mergeCell ref="I15:I16"/>
    <mergeCell ref="I18:J18"/>
    <mergeCell ref="I19:J19"/>
    <mergeCell ref="I20:J20"/>
    <mergeCell ref="I21:J21"/>
    <mergeCell ref="K27:L27"/>
    <mergeCell ref="I22:J22"/>
    <mergeCell ref="I5:J5"/>
    <mergeCell ref="I4:J4"/>
    <mergeCell ref="I14:J14"/>
    <mergeCell ref="I17:J17"/>
    <mergeCell ref="I6:J6"/>
    <mergeCell ref="I7:J7"/>
  </mergeCells>
  <pageMargins left="0.7" right="0.7" top="0.75" bottom="0.7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B5:Q28"/>
  <sheetViews>
    <sheetView rightToLeft="1" view="pageBreakPreview" topLeftCell="B1" zoomScaleNormal="100" zoomScaleSheetLayoutView="100" workbookViewId="0">
      <pane ySplit="7" topLeftCell="A15" activePane="bottomLeft" state="frozen"/>
      <selection pane="bottomLeft" activeCell="N18" sqref="N18"/>
    </sheetView>
  </sheetViews>
  <sheetFormatPr defaultRowHeight="15" x14ac:dyDescent="0.25"/>
  <cols>
    <col min="1" max="1" width="5.85546875" customWidth="1"/>
    <col min="2" max="2" width="10.28515625" customWidth="1"/>
    <col min="3" max="16" width="12.140625" customWidth="1"/>
    <col min="17" max="17" width="8.7109375" customWidth="1"/>
  </cols>
  <sheetData>
    <row r="5" spans="2:17" ht="25.5" customHeight="1" x14ac:dyDescent="0.25">
      <c r="B5" s="73" t="s">
        <v>47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</row>
    <row r="6" spans="2:17" ht="42.75" customHeight="1" x14ac:dyDescent="0.25">
      <c r="B6" s="30"/>
      <c r="C6" s="30" t="s">
        <v>41</v>
      </c>
      <c r="D6" s="30" t="s">
        <v>48</v>
      </c>
      <c r="E6" s="30" t="s">
        <v>45</v>
      </c>
      <c r="F6" s="30" t="s">
        <v>24</v>
      </c>
      <c r="G6" s="30" t="s">
        <v>30</v>
      </c>
      <c r="H6" s="30" t="s">
        <v>25</v>
      </c>
      <c r="I6" s="30" t="s">
        <v>26</v>
      </c>
      <c r="J6" s="30" t="s">
        <v>27</v>
      </c>
      <c r="K6" s="30" t="s">
        <v>29</v>
      </c>
      <c r="L6" s="30" t="s">
        <v>43</v>
      </c>
      <c r="M6" s="30" t="s">
        <v>35</v>
      </c>
      <c r="N6" s="30" t="s">
        <v>36</v>
      </c>
      <c r="O6" s="30" t="s">
        <v>28</v>
      </c>
      <c r="P6" s="30" t="s">
        <v>11</v>
      </c>
      <c r="Q6" s="30" t="s">
        <v>49</v>
      </c>
    </row>
    <row r="7" spans="2:17" ht="15.75" hidden="1" x14ac:dyDescent="0.25">
      <c r="B7" s="27">
        <v>2005</v>
      </c>
      <c r="C7" s="28">
        <v>1674</v>
      </c>
      <c r="D7" s="28">
        <v>516</v>
      </c>
      <c r="E7" s="28">
        <v>30</v>
      </c>
      <c r="F7" s="28" t="s">
        <v>22</v>
      </c>
      <c r="G7" s="28">
        <v>9086</v>
      </c>
      <c r="H7" s="28" t="s">
        <v>22</v>
      </c>
      <c r="I7" s="28"/>
      <c r="J7" s="28"/>
      <c r="K7" s="28"/>
      <c r="L7" s="28"/>
      <c r="M7" s="28"/>
      <c r="N7" s="28"/>
      <c r="O7" s="28">
        <v>22</v>
      </c>
      <c r="P7" s="28">
        <f>SUM(D7:O7)</f>
        <v>9654</v>
      </c>
      <c r="Q7" s="29">
        <v>7.7</v>
      </c>
    </row>
    <row r="8" spans="2:17" ht="27" customHeight="1" x14ac:dyDescent="0.25">
      <c r="B8" s="23">
        <v>2006</v>
      </c>
      <c r="C8" s="24">
        <v>1817</v>
      </c>
      <c r="D8" s="25">
        <v>474</v>
      </c>
      <c r="E8" s="25">
        <v>1660</v>
      </c>
      <c r="F8" s="25" t="s">
        <v>22</v>
      </c>
      <c r="G8" s="25">
        <v>8966</v>
      </c>
      <c r="H8" s="25" t="s">
        <v>22</v>
      </c>
      <c r="I8" s="25" t="s">
        <v>22</v>
      </c>
      <c r="J8" s="25" t="s">
        <v>22</v>
      </c>
      <c r="K8" s="25" t="s">
        <v>22</v>
      </c>
      <c r="L8" s="25" t="s">
        <v>22</v>
      </c>
      <c r="M8" s="25"/>
      <c r="N8" s="25" t="s">
        <v>22</v>
      </c>
      <c r="O8" s="25">
        <v>20</v>
      </c>
      <c r="P8" s="25">
        <f t="shared" ref="P8:P25" si="0">SUM(D8:O8)</f>
        <v>11120</v>
      </c>
      <c r="Q8" s="26">
        <f>((P8/P7)-1)*100</f>
        <v>15.185415371866572</v>
      </c>
    </row>
    <row r="9" spans="2:17" ht="27" customHeight="1" x14ac:dyDescent="0.25">
      <c r="B9" s="23">
        <v>2007</v>
      </c>
      <c r="C9" s="24">
        <v>2075</v>
      </c>
      <c r="D9" s="25">
        <v>393</v>
      </c>
      <c r="E9" s="25">
        <v>2733</v>
      </c>
      <c r="F9" s="25" t="s">
        <v>22</v>
      </c>
      <c r="G9" s="25">
        <v>9852</v>
      </c>
      <c r="H9" s="25" t="s">
        <v>22</v>
      </c>
      <c r="I9" s="25" t="s">
        <v>22</v>
      </c>
      <c r="J9" s="25" t="s">
        <v>22</v>
      </c>
      <c r="K9" s="25" t="s">
        <v>22</v>
      </c>
      <c r="L9" s="25" t="s">
        <v>22</v>
      </c>
      <c r="M9" s="25"/>
      <c r="N9" s="25" t="s">
        <v>22</v>
      </c>
      <c r="O9" s="25">
        <v>23</v>
      </c>
      <c r="P9" s="25">
        <f t="shared" si="0"/>
        <v>13001</v>
      </c>
      <c r="Q9" s="26">
        <f>((P9/P8)-1)*100</f>
        <v>16.915467625899282</v>
      </c>
    </row>
    <row r="10" spans="2:17" ht="27" customHeight="1" x14ac:dyDescent="0.25">
      <c r="B10" s="23">
        <v>2008</v>
      </c>
      <c r="C10" s="24">
        <v>2171</v>
      </c>
      <c r="D10" s="25">
        <v>331</v>
      </c>
      <c r="E10" s="25">
        <v>3736</v>
      </c>
      <c r="F10" s="25">
        <v>896</v>
      </c>
      <c r="G10" s="25">
        <v>8851</v>
      </c>
      <c r="H10" s="25" t="s">
        <v>22</v>
      </c>
      <c r="I10" s="25" t="s">
        <v>22</v>
      </c>
      <c r="J10" s="25" t="s">
        <v>22</v>
      </c>
      <c r="K10" s="25" t="s">
        <v>22</v>
      </c>
      <c r="L10" s="25" t="s">
        <v>22</v>
      </c>
      <c r="M10" s="25"/>
      <c r="N10" s="25" t="s">
        <v>22</v>
      </c>
      <c r="O10" s="25">
        <v>24</v>
      </c>
      <c r="P10" s="25">
        <f t="shared" si="0"/>
        <v>13838</v>
      </c>
      <c r="Q10" s="26">
        <f t="shared" ref="Q10:Q18" si="1">((P10/P9)-1)*100</f>
        <v>6.4379663102838158</v>
      </c>
    </row>
    <row r="11" spans="2:17" ht="27" customHeight="1" x14ac:dyDescent="0.25">
      <c r="B11" s="23">
        <v>2009</v>
      </c>
      <c r="C11" s="24">
        <v>2228</v>
      </c>
      <c r="D11" s="25">
        <v>263</v>
      </c>
      <c r="E11" s="25">
        <v>3629</v>
      </c>
      <c r="F11" s="25">
        <v>2350</v>
      </c>
      <c r="G11" s="25">
        <v>8009</v>
      </c>
      <c r="H11" s="25" t="s">
        <v>22</v>
      </c>
      <c r="I11" s="25" t="s">
        <v>22</v>
      </c>
      <c r="J11" s="25" t="s">
        <v>22</v>
      </c>
      <c r="K11" s="25" t="s">
        <v>22</v>
      </c>
      <c r="L11" s="25" t="s">
        <v>22</v>
      </c>
      <c r="M11" s="25"/>
      <c r="N11" s="25" t="s">
        <v>22</v>
      </c>
      <c r="O11" s="25">
        <v>21</v>
      </c>
      <c r="P11" s="25">
        <f t="shared" si="0"/>
        <v>14272</v>
      </c>
      <c r="Q11" s="26">
        <f t="shared" si="1"/>
        <v>3.1362913715854868</v>
      </c>
    </row>
    <row r="12" spans="2:17" ht="27" customHeight="1" x14ac:dyDescent="0.25">
      <c r="B12" s="23">
        <v>2010</v>
      </c>
      <c r="C12" s="24">
        <v>2564</v>
      </c>
      <c r="D12" s="25">
        <v>291</v>
      </c>
      <c r="E12" s="25">
        <v>3467</v>
      </c>
      <c r="F12" s="25">
        <v>3287</v>
      </c>
      <c r="G12" s="25">
        <v>7655</v>
      </c>
      <c r="H12" s="25">
        <v>53</v>
      </c>
      <c r="I12" s="25" t="s">
        <v>22</v>
      </c>
      <c r="J12" s="25" t="s">
        <v>22</v>
      </c>
      <c r="K12" s="25" t="s">
        <v>22</v>
      </c>
      <c r="L12" s="25" t="s">
        <v>22</v>
      </c>
      <c r="M12" s="25"/>
      <c r="N12" s="25" t="s">
        <v>22</v>
      </c>
      <c r="O12" s="25">
        <v>24</v>
      </c>
      <c r="P12" s="25">
        <f t="shared" si="0"/>
        <v>14777</v>
      </c>
      <c r="Q12" s="26">
        <f t="shared" si="1"/>
        <v>3.5383968609865368</v>
      </c>
    </row>
    <row r="13" spans="2:17" ht="27" customHeight="1" x14ac:dyDescent="0.25">
      <c r="B13" s="23">
        <v>2011</v>
      </c>
      <c r="C13" s="24">
        <v>2680</v>
      </c>
      <c r="D13" s="25">
        <v>257</v>
      </c>
      <c r="E13" s="25">
        <v>3597</v>
      </c>
      <c r="F13" s="25">
        <v>2267</v>
      </c>
      <c r="G13" s="25">
        <v>8051</v>
      </c>
      <c r="H13" s="25">
        <v>454</v>
      </c>
      <c r="I13" s="25" t="s">
        <v>22</v>
      </c>
      <c r="J13" s="25" t="s">
        <v>22</v>
      </c>
      <c r="K13" s="25" t="s">
        <v>22</v>
      </c>
      <c r="L13" s="25" t="s">
        <v>22</v>
      </c>
      <c r="M13" s="25"/>
      <c r="N13" s="25" t="s">
        <v>22</v>
      </c>
      <c r="O13" s="25">
        <v>21</v>
      </c>
      <c r="P13" s="25">
        <f t="shared" si="0"/>
        <v>14647</v>
      </c>
      <c r="Q13" s="26">
        <f t="shared" si="1"/>
        <v>-0.87974555051769654</v>
      </c>
    </row>
    <row r="14" spans="2:17" ht="27" customHeight="1" x14ac:dyDescent="0.25">
      <c r="B14" s="23">
        <v>2012</v>
      </c>
      <c r="C14" s="24">
        <v>2790</v>
      </c>
      <c r="D14" s="25">
        <v>241</v>
      </c>
      <c r="E14" s="25">
        <v>4595</v>
      </c>
      <c r="F14" s="25">
        <v>1596</v>
      </c>
      <c r="G14" s="25">
        <v>7789</v>
      </c>
      <c r="H14" s="25">
        <v>2353</v>
      </c>
      <c r="I14" s="25" t="s">
        <v>22</v>
      </c>
      <c r="J14" s="25" t="s">
        <v>22</v>
      </c>
      <c r="K14" s="25" t="s">
        <v>22</v>
      </c>
      <c r="L14" s="25" t="s">
        <v>22</v>
      </c>
      <c r="M14" s="25"/>
      <c r="N14" s="25" t="s">
        <v>22</v>
      </c>
      <c r="O14" s="25">
        <v>22</v>
      </c>
      <c r="P14" s="25">
        <f t="shared" si="0"/>
        <v>16596</v>
      </c>
      <c r="Q14" s="26">
        <f t="shared" si="1"/>
        <v>13.306479142486527</v>
      </c>
    </row>
    <row r="15" spans="2:17" ht="27" customHeight="1" x14ac:dyDescent="0.25">
      <c r="B15" s="23">
        <v>2013</v>
      </c>
      <c r="C15" s="24">
        <v>2995</v>
      </c>
      <c r="D15" s="25">
        <v>286</v>
      </c>
      <c r="E15" s="25">
        <v>4499</v>
      </c>
      <c r="F15" s="25">
        <v>2640</v>
      </c>
      <c r="G15" s="25">
        <v>7381</v>
      </c>
      <c r="H15" s="25">
        <v>2437</v>
      </c>
      <c r="I15" s="25" t="s">
        <v>22</v>
      </c>
      <c r="J15" s="25" t="s">
        <v>22</v>
      </c>
      <c r="K15" s="25" t="s">
        <v>22</v>
      </c>
      <c r="L15" s="25" t="s">
        <v>22</v>
      </c>
      <c r="M15" s="25"/>
      <c r="N15" s="25" t="s">
        <v>22</v>
      </c>
      <c r="O15" s="25">
        <v>19</v>
      </c>
      <c r="P15" s="25">
        <f t="shared" si="0"/>
        <v>17262</v>
      </c>
      <c r="Q15" s="26">
        <f t="shared" si="1"/>
        <v>4.0130151843817741</v>
      </c>
    </row>
    <row r="16" spans="2:17" ht="27" customHeight="1" x14ac:dyDescent="0.25">
      <c r="B16" s="23">
        <v>2014</v>
      </c>
      <c r="C16" s="24">
        <v>2930</v>
      </c>
      <c r="D16" s="25">
        <v>383</v>
      </c>
      <c r="E16" s="25">
        <v>4521</v>
      </c>
      <c r="F16" s="25">
        <v>1988</v>
      </c>
      <c r="G16" s="25">
        <v>7964</v>
      </c>
      <c r="H16" s="25">
        <v>1520</v>
      </c>
      <c r="I16" s="25">
        <v>1140</v>
      </c>
      <c r="J16" s="25">
        <v>730</v>
      </c>
      <c r="K16" s="25" t="s">
        <v>22</v>
      </c>
      <c r="L16" s="25" t="s">
        <v>22</v>
      </c>
      <c r="M16" s="25"/>
      <c r="N16" s="25" t="s">
        <v>22</v>
      </c>
      <c r="O16" s="25">
        <f>17+3.5</f>
        <v>20.5</v>
      </c>
      <c r="P16" s="25">
        <f t="shared" si="0"/>
        <v>18266.5</v>
      </c>
      <c r="Q16" s="26">
        <f t="shared" si="1"/>
        <v>5.8191403081913951</v>
      </c>
    </row>
    <row r="17" spans="2:17" ht="27" customHeight="1" x14ac:dyDescent="0.25">
      <c r="B17" s="23">
        <v>2015</v>
      </c>
      <c r="C17" s="24">
        <v>3330</v>
      </c>
      <c r="D17" s="25">
        <v>472.3</v>
      </c>
      <c r="E17" s="25">
        <v>5386.9</v>
      </c>
      <c r="F17" s="25">
        <v>1825.9</v>
      </c>
      <c r="G17" s="25">
        <v>6382.6</v>
      </c>
      <c r="H17" s="25">
        <v>2274.3000000000002</v>
      </c>
      <c r="I17" s="25">
        <v>1401</v>
      </c>
      <c r="J17" s="25">
        <v>1122</v>
      </c>
      <c r="K17" s="25" t="s">
        <v>22</v>
      </c>
      <c r="L17" s="25" t="s">
        <v>22</v>
      </c>
      <c r="M17" s="25">
        <v>121</v>
      </c>
      <c r="N17" s="25">
        <v>2</v>
      </c>
      <c r="O17" s="25">
        <f>16.9+4</f>
        <v>20.9</v>
      </c>
      <c r="P17" s="25">
        <f t="shared" si="0"/>
        <v>19008.900000000001</v>
      </c>
      <c r="Q17" s="26">
        <f t="shared" si="1"/>
        <v>4.0642706594038236</v>
      </c>
    </row>
    <row r="18" spans="2:17" ht="27" customHeight="1" x14ac:dyDescent="0.25">
      <c r="B18" s="23">
        <v>2016</v>
      </c>
      <c r="C18" s="24">
        <v>3250</v>
      </c>
      <c r="D18" s="25">
        <v>558.6</v>
      </c>
      <c r="E18" s="25">
        <v>7194.4</v>
      </c>
      <c r="F18" s="25">
        <v>3163</v>
      </c>
      <c r="G18" s="25">
        <v>4260.3999999999996</v>
      </c>
      <c r="H18" s="25">
        <v>2880.6</v>
      </c>
      <c r="I18" s="25">
        <v>263</v>
      </c>
      <c r="J18" s="25">
        <v>509</v>
      </c>
      <c r="K18" s="25" t="s">
        <v>22</v>
      </c>
      <c r="L18" s="25" t="s">
        <v>22</v>
      </c>
      <c r="M18" s="25">
        <v>386.7</v>
      </c>
      <c r="N18" s="25">
        <f>258.4+154</f>
        <v>412.4</v>
      </c>
      <c r="O18" s="25">
        <f>18.7+4.1</f>
        <v>22.799999999999997</v>
      </c>
      <c r="P18" s="25">
        <f t="shared" si="0"/>
        <v>19650.900000000001</v>
      </c>
      <c r="Q18" s="26">
        <f t="shared" si="1"/>
        <v>3.3773653393936565</v>
      </c>
    </row>
    <row r="19" spans="2:17" ht="27" customHeight="1" x14ac:dyDescent="0.25">
      <c r="B19" s="23">
        <v>2017</v>
      </c>
      <c r="C19" s="24">
        <v>3320</v>
      </c>
      <c r="D19" s="25">
        <v>706.1</v>
      </c>
      <c r="E19" s="25">
        <v>7643.2</v>
      </c>
      <c r="F19" s="25">
        <v>2626.2</v>
      </c>
      <c r="G19" s="25">
        <v>4332.3</v>
      </c>
      <c r="H19" s="25">
        <v>3033.2</v>
      </c>
      <c r="I19" s="25">
        <v>288</v>
      </c>
      <c r="J19" s="25">
        <v>767</v>
      </c>
      <c r="K19" s="25" t="s">
        <v>22</v>
      </c>
      <c r="L19" s="25" t="s">
        <v>22</v>
      </c>
      <c r="M19" s="25">
        <v>444.7</v>
      </c>
      <c r="N19" s="25">
        <f>588.6+303</f>
        <v>891.6</v>
      </c>
      <c r="O19" s="25">
        <f>17+4.1</f>
        <v>21.1</v>
      </c>
      <c r="P19" s="25">
        <f t="shared" si="0"/>
        <v>20753.399999999998</v>
      </c>
      <c r="Q19" s="26">
        <f>((P19/P18)-1)*100</f>
        <v>5.6104300566386156</v>
      </c>
    </row>
    <row r="20" spans="2:17" ht="27" customHeight="1" x14ac:dyDescent="0.25">
      <c r="B20" s="23">
        <v>2018</v>
      </c>
      <c r="C20" s="24">
        <v>3205</v>
      </c>
      <c r="D20" s="25">
        <v>748.4</v>
      </c>
      <c r="E20" s="25">
        <v>7710.2</v>
      </c>
      <c r="F20" s="25">
        <v>2794.9</v>
      </c>
      <c r="G20" s="25">
        <v>1833.6</v>
      </c>
      <c r="H20" s="25">
        <v>2754.5</v>
      </c>
      <c r="I20" s="25">
        <v>499.3</v>
      </c>
      <c r="J20" s="25">
        <v>764.5</v>
      </c>
      <c r="K20" s="25">
        <v>1218.4000000000001</v>
      </c>
      <c r="L20" s="25" t="s">
        <v>22</v>
      </c>
      <c r="M20" s="25">
        <v>703.9</v>
      </c>
      <c r="N20" s="25">
        <f>832.3+561.6</f>
        <v>1393.9</v>
      </c>
      <c r="O20" s="25">
        <f>14.1+3.4</f>
        <v>17.5</v>
      </c>
      <c r="P20" s="25">
        <f t="shared" si="0"/>
        <v>20439.100000000006</v>
      </c>
      <c r="Q20" s="26">
        <f>((P20/P19)-1)*100</f>
        <v>-1.5144506442317462</v>
      </c>
    </row>
    <row r="21" spans="2:17" ht="27" customHeight="1" x14ac:dyDescent="0.25">
      <c r="B21" s="23">
        <v>2019</v>
      </c>
      <c r="C21" s="24">
        <v>3380</v>
      </c>
      <c r="D21" s="25">
        <f>405.6+91.7+61.2+82.4+100+119+20</f>
        <v>879.9</v>
      </c>
      <c r="E21" s="25">
        <v>6608.1</v>
      </c>
      <c r="F21" s="25">
        <v>2892.5</v>
      </c>
      <c r="G21" s="25">
        <v>502.3</v>
      </c>
      <c r="H21" s="25">
        <v>2823.2</v>
      </c>
      <c r="I21" s="25">
        <v>397.5</v>
      </c>
      <c r="J21" s="25">
        <v>640.5</v>
      </c>
      <c r="K21" s="25">
        <v>3285.8</v>
      </c>
      <c r="L21" s="25" t="s">
        <v>22</v>
      </c>
      <c r="M21" s="25">
        <v>874.5</v>
      </c>
      <c r="N21" s="25">
        <f>1324.7+717.6</f>
        <v>2042.3000000000002</v>
      </c>
      <c r="O21" s="25">
        <f>18.4+3.5</f>
        <v>21.9</v>
      </c>
      <c r="P21" s="25">
        <f t="shared" si="0"/>
        <v>20968.5</v>
      </c>
      <c r="Q21" s="26">
        <f>((P21/P20)-1)*100</f>
        <v>2.590133616450796</v>
      </c>
    </row>
    <row r="22" spans="2:17" ht="27" customHeight="1" x14ac:dyDescent="0.25">
      <c r="B22" s="23">
        <v>2020</v>
      </c>
      <c r="C22" s="24">
        <v>3630</v>
      </c>
      <c r="D22" s="25">
        <v>900</v>
      </c>
      <c r="E22" s="25">
        <v>6510.6</v>
      </c>
      <c r="F22" s="25">
        <v>2654.4</v>
      </c>
      <c r="G22" s="25">
        <v>556.5</v>
      </c>
      <c r="H22" s="25">
        <v>2699.6</v>
      </c>
      <c r="I22" s="25">
        <v>304</v>
      </c>
      <c r="J22" s="25">
        <v>411.7</v>
      </c>
      <c r="K22" s="25">
        <v>2973.5</v>
      </c>
      <c r="L22" s="25" t="s">
        <v>22</v>
      </c>
      <c r="M22" s="25">
        <v>1261.5999999999999</v>
      </c>
      <c r="N22" s="25">
        <f>1796.1+1173.2</f>
        <v>2969.3</v>
      </c>
      <c r="O22" s="25">
        <f>18.3+3.5</f>
        <v>21.8</v>
      </c>
      <c r="P22" s="25">
        <f t="shared" si="0"/>
        <v>21263</v>
      </c>
      <c r="Q22" s="26">
        <f>((P22/P21)-1)*100</f>
        <v>1.4044876839068188</v>
      </c>
    </row>
    <row r="23" spans="2:17" ht="27" customHeight="1" x14ac:dyDescent="0.25">
      <c r="B23" s="31" t="s">
        <v>40</v>
      </c>
      <c r="C23" s="24">
        <v>3770</v>
      </c>
      <c r="D23" s="25">
        <v>970</v>
      </c>
      <c r="E23" s="25">
        <v>6535.3</v>
      </c>
      <c r="F23" s="25">
        <v>2501.9</v>
      </c>
      <c r="G23" s="25">
        <v>827.8</v>
      </c>
      <c r="H23" s="25">
        <v>2348.1</v>
      </c>
      <c r="I23" s="25">
        <v>230</v>
      </c>
      <c r="J23" s="25">
        <v>472.4</v>
      </c>
      <c r="K23" s="25">
        <v>2695.4</v>
      </c>
      <c r="L23" s="25">
        <v>187.2</v>
      </c>
      <c r="M23" s="25">
        <v>1542.8</v>
      </c>
      <c r="N23" s="25">
        <f>2341.9+1300</f>
        <v>3641.9</v>
      </c>
      <c r="O23" s="25">
        <v>21.8</v>
      </c>
      <c r="P23" s="25">
        <f>SUM(D23:O23)</f>
        <v>21974.600000000002</v>
      </c>
      <c r="Q23" s="26">
        <f>((P23/P22)-1)*100</f>
        <v>3.3466585147909678</v>
      </c>
    </row>
    <row r="24" spans="2:17" ht="27" customHeight="1" x14ac:dyDescent="0.25">
      <c r="B24" s="34" t="s">
        <v>46</v>
      </c>
      <c r="C24" s="24">
        <v>4010</v>
      </c>
      <c r="D24" s="25">
        <v>1100</v>
      </c>
      <c r="E24" s="25">
        <v>6722.3</v>
      </c>
      <c r="F24" s="25">
        <v>2228.4</v>
      </c>
      <c r="G24" s="25">
        <v>652.4</v>
      </c>
      <c r="H24" s="25">
        <v>2180.8000000000002</v>
      </c>
      <c r="I24" s="25">
        <v>474.8</v>
      </c>
      <c r="J24" s="25">
        <v>652.20000000000005</v>
      </c>
      <c r="K24" s="25">
        <v>2950.4</v>
      </c>
      <c r="L24" s="25">
        <v>1013.3</v>
      </c>
      <c r="M24" s="25">
        <v>1750</v>
      </c>
      <c r="N24" s="25">
        <f>2444.1+1905.6</f>
        <v>4349.7</v>
      </c>
      <c r="O24" s="25">
        <f>19.1+3.5</f>
        <v>22.6</v>
      </c>
      <c r="P24" s="25">
        <f>SUM(D24:O24)</f>
        <v>24096.9</v>
      </c>
      <c r="Q24" s="25">
        <f>((P24/P22)-1)*100</f>
        <v>13.327846493909611</v>
      </c>
    </row>
    <row r="25" spans="2:17" ht="27" customHeight="1" x14ac:dyDescent="0.25">
      <c r="B25" s="35" t="s">
        <v>54</v>
      </c>
      <c r="C25" s="24">
        <v>4240</v>
      </c>
      <c r="D25" s="25" t="s">
        <v>52</v>
      </c>
      <c r="E25" s="25">
        <f>5684+239.1+419.6</f>
        <v>6342.7000000000007</v>
      </c>
      <c r="F25" s="25">
        <v>2265.5</v>
      </c>
      <c r="G25" s="25">
        <v>60.9</v>
      </c>
      <c r="H25" s="25">
        <v>2281.3000000000002</v>
      </c>
      <c r="I25" s="25">
        <v>201.5</v>
      </c>
      <c r="J25" s="25">
        <v>349.9</v>
      </c>
      <c r="K25" s="25">
        <v>3252.6</v>
      </c>
      <c r="L25" s="25">
        <v>3089</v>
      </c>
      <c r="M25" s="25">
        <v>1649.9</v>
      </c>
      <c r="N25" s="25">
        <f>2295.5+2312.6</f>
        <v>4608.1000000000004</v>
      </c>
      <c r="O25" s="25">
        <f>22.4+3.5</f>
        <v>25.9</v>
      </c>
      <c r="P25" s="25">
        <f t="shared" si="0"/>
        <v>24127.300000000003</v>
      </c>
      <c r="Q25" s="25">
        <f>((P25/P23)-1)*100</f>
        <v>9.796310285511467</v>
      </c>
    </row>
    <row r="26" spans="2:17" ht="15.75" customHeight="1" x14ac:dyDescent="0.25">
      <c r="B26" s="74" t="s">
        <v>37</v>
      </c>
      <c r="C26" s="74"/>
      <c r="D26" s="74"/>
      <c r="E26" s="74"/>
      <c r="F26" s="74"/>
      <c r="G26" s="74"/>
      <c r="H26" s="74"/>
      <c r="I26" s="32"/>
      <c r="J26" s="75" t="s">
        <v>55</v>
      </c>
      <c r="K26" s="75"/>
      <c r="L26" s="75"/>
      <c r="M26" s="75"/>
      <c r="N26" s="75"/>
      <c r="O26" s="75"/>
      <c r="P26" s="75"/>
      <c r="Q26" s="75"/>
    </row>
    <row r="27" spans="2:17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2"/>
    </row>
    <row r="28" spans="2:17" x14ac:dyDescent="0.25">
      <c r="K28" s="3"/>
      <c r="L28" s="3"/>
    </row>
  </sheetData>
  <mergeCells count="3">
    <mergeCell ref="B5:Q5"/>
    <mergeCell ref="B26:H26"/>
    <mergeCell ref="J26:Q26"/>
  </mergeCells>
  <pageMargins left="0.7" right="0.7" top="0.75" bottom="0.75" header="0.3" footer="0.3"/>
  <pageSetup scale="64" fitToHeight="0" orientation="landscape" r:id="rId1"/>
  <colBreaks count="1" manualBreakCount="1">
    <brk id="1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Sheet2</vt:lpstr>
      <vt:lpstr>Sheet4</vt:lpstr>
      <vt:lpstr>Sheet1</vt:lpstr>
      <vt:lpstr>Sheet1!Print_Area</vt:lpstr>
      <vt:lpstr>Sheet2!Print_Area</vt:lpstr>
      <vt:lpstr>Sheet4!Print_Area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eothman</dc:creator>
  <cp:lastModifiedBy>Fedda Ananbeh</cp:lastModifiedBy>
  <cp:lastPrinted>2024-03-21T07:25:00Z</cp:lastPrinted>
  <dcterms:created xsi:type="dcterms:W3CDTF">2018-03-04T08:22:36Z</dcterms:created>
  <dcterms:modified xsi:type="dcterms:W3CDTF">2024-07-16T10:16:28Z</dcterms:modified>
</cp:coreProperties>
</file>